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D402" lockStructure="1"/>
  <bookViews>
    <workbookView xWindow="390" yWindow="645" windowWidth="24000" windowHeight="13365"/>
  </bookViews>
  <sheets>
    <sheet name="Main" sheetId="1" r:id="rId1"/>
    <sheet name="Server profiles" sheetId="6" r:id="rId2"/>
    <sheet name="Disk size calculation" sheetId="2" state="veryHidden" r:id="rId3"/>
    <sheet name="Backend Load Calculation" sheetId="5" state="veryHidden" r:id="rId4"/>
    <sheet name="Frontend Load Calculation" sheetId="3" state="veryHidden" r:id="rId5"/>
    <sheet name="Data" sheetId="4" state="veryHidden" r:id="rId6"/>
  </sheets>
  <definedNames>
    <definedName name="AdjBENodes">'Backend Load Calculation'!$E$4</definedName>
    <definedName name="AdjFENodes">'Frontend Load Calculation'!$B$22</definedName>
    <definedName name="AdjMaxVisitsPerSecond">'Frontend Load Calculation'!$B$6</definedName>
    <definedName name="AdjMinBENodes">'Backend Load Calculation'!$E$8</definedName>
    <definedName name="AdjVisitsPerSecond">'Frontend Load Calculation'!$B$5</definedName>
    <definedName name="AuxRequestsPerPage">'Frontend Load Calculation'!$B$11</definedName>
    <definedName name="AuxRequestsPerVisit">'Frontend Load Calculation'!$B$12</definedName>
    <definedName name="AvgEventSize">'Disk size calculation'!$C$8</definedName>
    <definedName name="AvgEventSizeCompressed">'Disk size calculation'!$D$8</definedName>
    <definedName name="AvgEventsPerSecond">'Frontend Load Calculation'!$B$16</definedName>
    <definedName name="AvgPagesPerSecond">'Frontend Load Calculation'!$B$8</definedName>
    <definedName name="AvgPagesPerVisit">Main!$F$6</definedName>
    <definedName name="BERegrConst1">'Backend Load Calculation'!$B$12</definedName>
    <definedName name="BERegrConst2">'Backend Load Calculation'!$B$13</definedName>
    <definedName name="BERegrConst3">'Backend Load Calculation'!$B$14</definedName>
    <definedName name="ByteToGb">Data!$B$9</definedName>
    <definedName name="Category0PagesPart">Main!$F$11</definedName>
    <definedName name="Category1PagesPart">Main!$F$12</definedName>
    <definedName name="Category2PagesPart">Main!$F$13</definedName>
    <definedName name="CustomEventsPerPage">Main!$F$9</definedName>
    <definedName name="CustomEventsPerVisit">Main!$F$10</definedName>
    <definedName name="EventSizeCat0">Data!$F$16</definedName>
    <definedName name="EventSizeCat0Compr0">Data!$B$5</definedName>
    <definedName name="EventSizeCat0Compr1">Data!$C$5</definedName>
    <definedName name="EventSizeCat1">Data!$G$16</definedName>
    <definedName name="EventSizeCat1Compr0">Data!$B$6</definedName>
    <definedName name="EventSizeCat1Compr1">Data!$C$6</definedName>
    <definedName name="EventSizeCat2">Data!$H$16</definedName>
    <definedName name="EventSizeCat2Compr0">Data!$B$7</definedName>
    <definedName name="EventSizeCat2Compr1">Data!$C$7</definedName>
    <definedName name="EventsPerHour">'Disk size calculation'!$C$5</definedName>
    <definedName name="EventsPerPage">'Disk size calculation'!$C$2</definedName>
    <definedName name="EventsPerPageDef">Data!$B$15</definedName>
    <definedName name="EventsPerSecond">'Frontend Load Calculation'!$B$15</definedName>
    <definedName name="EventsPerVisit">'Disk size calculation'!$C$3</definedName>
    <definedName name="EventsPerVisitDef">Data!$B$14</definedName>
    <definedName name="I0Cat0">Data!$F$4</definedName>
    <definedName name="I0Cat1">Data!$G$4</definedName>
    <definedName name="I0Cat2">Data!$H$4</definedName>
    <definedName name="I1Cat0">Data!$F$5</definedName>
    <definedName name="I1Cat1">Data!$G$5</definedName>
    <definedName name="I1Cat2">Data!$H$5</definedName>
    <definedName name="LimitBENodes">Data!$C$17</definedName>
    <definedName name="LimitFENodes">Data!$C$27</definedName>
    <definedName name="MaxFENodes">Data!$C$26</definedName>
    <definedName name="MaxFERPS">Data!$C$25</definedName>
    <definedName name="MaxVisitsPerHour">Main!$F$7</definedName>
    <definedName name="MinBENodes">'Backend Load Calculation'!$E$7</definedName>
    <definedName name="MinBERegr">'Backend Load Calculation'!$E$6</definedName>
    <definedName name="MinimalBENodes">Data!$B$2</definedName>
    <definedName name="MinimalFENodes">Data!$B$20</definedName>
    <definedName name="P1Cat0">'Backend Load Calculation'!$B$20</definedName>
    <definedName name="P1Cat1">'Backend Load Calculation'!$C$20</definedName>
    <definedName name="P1Cat2">'Backend Load Calculation'!$D$20</definedName>
    <definedName name="P1PerfCalculated">'Backend Load Calculation'!$B$22</definedName>
    <definedName name="PagesPerHour">'Disk size calculation'!$C$4</definedName>
    <definedName name="PagesPerSecond">'Frontend Load Calculation'!$B$7</definedName>
    <definedName name="RegrConst1">Data!$B$22</definedName>
    <definedName name="RegrConst2">Data!$B$23</definedName>
    <definedName name="ReplFactor">Main!#REF!</definedName>
    <definedName name="RequestsPerSecond">'Frontend Load Calculation'!$B$18</definedName>
    <definedName name="SecPerHour">'Frontend Load Calculation'!$B$13</definedName>
    <definedName name="SizeI0Cat0">Data!$F$13</definedName>
    <definedName name="SizeI0Cat1">Data!$G$13</definedName>
    <definedName name="SizeI0Cat2">Data!$H$13</definedName>
    <definedName name="SizeI1Cat0">Data!$F$14</definedName>
    <definedName name="SizeI1Cat1">Data!$G$14</definedName>
    <definedName name="SizeI1Cat2">Data!$H$14</definedName>
    <definedName name="TargetBENodes">'Backend Load Calculation'!$E$3</definedName>
    <definedName name="TargetBERegr">'Backend Load Calculation'!$E$2</definedName>
    <definedName name="TargetFENodes">'Frontend Load Calculation'!$B$20</definedName>
    <definedName name="UseLimitedIndexing">Main!$F$15</definedName>
    <definedName name="VisitsPerHour">Main!$F$5</definedName>
    <definedName name="VisitsPerSecond">'Frontend Load Calculation'!$B$2</definedName>
    <definedName name="VisitsPerSecondStdDev">'Frontend Load Calculation'!$B$4</definedName>
    <definedName name="YearToMonth">Data!$B$10</definedName>
  </definedNames>
  <calcPr calcId="145621" refMode="R1C1" concurrentCalc="0"/>
</workbook>
</file>

<file path=xl/calcChain.xml><?xml version="1.0" encoding="utf-8"?>
<calcChain xmlns="http://schemas.openxmlformats.org/spreadsheetml/2006/main">
  <c r="H14" i="4" l="1"/>
  <c r="G14" i="4"/>
  <c r="F14" i="4"/>
  <c r="H16" i="4"/>
  <c r="F16" i="4"/>
  <c r="G16" i="4"/>
  <c r="F11" i="1"/>
  <c r="D8" i="2"/>
  <c r="F11" i="4"/>
  <c r="B20" i="5"/>
  <c r="C20" i="5"/>
  <c r="D20" i="5"/>
  <c r="B22" i="5"/>
  <c r="B14" i="5"/>
  <c r="B19" i="5"/>
  <c r="C2" i="2"/>
  <c r="B13" i="3"/>
  <c r="B2" i="3"/>
  <c r="B4" i="3"/>
  <c r="B5" i="3"/>
  <c r="B6" i="3"/>
  <c r="B7" i="3"/>
  <c r="C3" i="2"/>
  <c r="B15" i="3"/>
  <c r="B18" i="3"/>
  <c r="B20" i="3"/>
  <c r="E2" i="5"/>
  <c r="E3" i="5"/>
  <c r="B8" i="3"/>
  <c r="B16" i="3"/>
  <c r="E6" i="5"/>
  <c r="E7" i="5"/>
  <c r="G11" i="1"/>
  <c r="C4" i="2"/>
  <c r="B3" i="3"/>
  <c r="B11" i="2"/>
  <c r="B11" i="4"/>
  <c r="B10" i="4"/>
  <c r="B9" i="4"/>
  <c r="C8" i="2"/>
  <c r="C5" i="2"/>
  <c r="C12" i="2"/>
  <c r="E8" i="5"/>
  <c r="F24" i="1"/>
  <c r="C33" i="1"/>
  <c r="D33" i="1"/>
  <c r="E33" i="1"/>
  <c r="C13" i="2"/>
  <c r="G33" i="1"/>
  <c r="F33" i="1"/>
  <c r="B22" i="3"/>
  <c r="F22" i="1"/>
  <c r="E4" i="5"/>
  <c r="F25" i="1"/>
  <c r="C14" i="2"/>
  <c r="C15" i="2"/>
  <c r="F20" i="1"/>
  <c r="G25" i="1"/>
  <c r="G22" i="1"/>
</calcChain>
</file>

<file path=xl/sharedStrings.xml><?xml version="1.0" encoding="utf-8"?>
<sst xmlns="http://schemas.openxmlformats.org/spreadsheetml/2006/main" count="137" uniqueCount="127">
  <si>
    <t>Average visits per hour</t>
  </si>
  <si>
    <t>Max visits per hour</t>
  </si>
  <si>
    <t>Average number of business events per page</t>
  </si>
  <si>
    <t>Hour</t>
  </si>
  <si>
    <t>Day</t>
  </si>
  <si>
    <t>Week</t>
  </si>
  <si>
    <t>Month</t>
  </si>
  <si>
    <t>Year</t>
  </si>
  <si>
    <t>Events per page</t>
  </si>
  <si>
    <t>Events per visit</t>
  </si>
  <si>
    <t>Events per hour</t>
  </si>
  <si>
    <t>non compressed</t>
  </si>
  <si>
    <t>compressed</t>
  </si>
  <si>
    <t>Disk space per hour</t>
  </si>
  <si>
    <t>Per day</t>
  </si>
  <si>
    <t>Per week</t>
  </si>
  <si>
    <t>Load estimation</t>
  </si>
  <si>
    <t>Visits per second</t>
  </si>
  <si>
    <t>Pages per visit</t>
  </si>
  <si>
    <t>Events</t>
  </si>
  <si>
    <t>non-event requests per page</t>
  </si>
  <si>
    <t>non-event requests per visit</t>
  </si>
  <si>
    <t>Requests per second</t>
  </si>
  <si>
    <t>Target nodes size</t>
  </si>
  <si>
    <t>Backend limits and data</t>
  </si>
  <si>
    <t>Minimal number of BE nodes</t>
  </si>
  <si>
    <t>Data size per event</t>
  </si>
  <si>
    <t>no compr</t>
  </si>
  <si>
    <t>compr</t>
  </si>
  <si>
    <t>no categories</t>
  </si>
  <si>
    <t>1 category</t>
  </si>
  <si>
    <t>2 categories</t>
  </si>
  <si>
    <t>(VisitStarted)</t>
  </si>
  <si>
    <t>Number of events per page by default</t>
  </si>
  <si>
    <t>(PageEntered+PageExited)</t>
  </si>
  <si>
    <t>Frontend limits</t>
  </si>
  <si>
    <t>Minimal number of FE nodes</t>
  </si>
  <si>
    <t/>
  </si>
  <si>
    <t>Recommended deployment options</t>
  </si>
  <si>
    <t>Disk space consumption by Backend nodes</t>
  </si>
  <si>
    <t>Genesys WebEngagement sizing calculator</t>
  </si>
  <si>
    <t>Estimated peak requests per second</t>
  </si>
  <si>
    <t>Recommended Frontend nodes count</t>
  </si>
  <si>
    <t>Recommended Backend nodes count</t>
  </si>
  <si>
    <t>Average % of page views without categories</t>
  </si>
  <si>
    <t>Average % of page views with 1 category</t>
  </si>
  <si>
    <t>Average % of page views with 2 or more categories</t>
  </si>
  <si>
    <t>Recommendations</t>
  </si>
  <si>
    <t>Target Backend Nodes count</t>
  </si>
  <si>
    <t>Replication factor</t>
  </si>
  <si>
    <t>Avg event size</t>
  </si>
  <si>
    <t>Single node</t>
  </si>
  <si>
    <t>Per 2 month</t>
  </si>
  <si>
    <t>ByteToGb</t>
  </si>
  <si>
    <t>Year to Month</t>
  </si>
  <si>
    <t>Seconds in Hour</t>
  </si>
  <si>
    <t>Total database size, compression enabled, Gb</t>
  </si>
  <si>
    <t>Maximum FE Size</t>
  </si>
  <si>
    <t>Average page views per visit</t>
  </si>
  <si>
    <t>Visits per seconds std dev</t>
  </si>
  <si>
    <t>Pages per hour</t>
  </si>
  <si>
    <t>Maximum FE RPS</t>
  </si>
  <si>
    <t>Backend cluster</t>
  </si>
  <si>
    <t>Frontend cluster</t>
  </si>
  <si>
    <t>Maximum heap size (Xmx)</t>
  </si>
  <si>
    <t>Initial heap size (Xms)</t>
  </si>
  <si>
    <t>Java options</t>
  </si>
  <si>
    <t>Java version 1.6 or higher, 64-Bit Server VM</t>
  </si>
  <si>
    <t>Java version</t>
  </si>
  <si>
    <t>Recommended Software Configuration</t>
  </si>
  <si>
    <t>RAM</t>
  </si>
  <si>
    <t>CPU</t>
  </si>
  <si>
    <t>Frontend nodes</t>
  </si>
  <si>
    <t>planned amount of data to store + 100%</t>
  </si>
  <si>
    <t>Disk size</t>
  </si>
  <si>
    <t>Backend nodes</t>
  </si>
  <si>
    <t>recommended</t>
  </si>
  <si>
    <t>minimal</t>
  </si>
  <si>
    <t>Recommended Hardware Configuration</t>
  </si>
  <si>
    <t>OS version</t>
  </si>
  <si>
    <t>Linux 5 x64, Windows Server 2008R2 x64</t>
  </si>
  <si>
    <t>a</t>
  </si>
  <si>
    <t>b</t>
  </si>
  <si>
    <t>Limit for BE nodes</t>
  </si>
  <si>
    <t>Limit for FE nodes</t>
  </si>
  <si>
    <t>Adjusted</t>
  </si>
  <si>
    <t>Frontend Regression calc (a*N)</t>
  </si>
  <si>
    <t>Regression Const 1</t>
  </si>
  <si>
    <t>Regression Const 2</t>
  </si>
  <si>
    <t>multicore (8+) CPU</t>
  </si>
  <si>
    <t>Adjusted max visits per second</t>
  </si>
  <si>
    <t>Selected max visits</t>
  </si>
  <si>
    <t>Max page views per second</t>
  </si>
  <si>
    <t>Regression Const 3</t>
  </si>
  <si>
    <t>Backend Regression (cY(a*N+b)</t>
  </si>
  <si>
    <t>single node perf</t>
  </si>
  <si>
    <t>Peak hours Backend nodes count</t>
  </si>
  <si>
    <t>Max Events per second</t>
  </si>
  <si>
    <t>Avg events per second</t>
  </si>
  <si>
    <t>Avg page views per second</t>
  </si>
  <si>
    <t>Minimal Nodes Count</t>
  </si>
  <si>
    <t>Minimal load regression</t>
  </si>
  <si>
    <t>Target load regression</t>
  </si>
  <si>
    <t>load categories</t>
  </si>
  <si>
    <t>load JS + DSL</t>
  </si>
  <si>
    <t>Average % of identified visits (UserInfo, SignIn, SignOut events)</t>
  </si>
  <si>
    <t>Single node perf vs categories</t>
  </si>
  <si>
    <t>Num of categories</t>
  </si>
  <si>
    <t>Selected node perf</t>
  </si>
  <si>
    <t>Full indexing</t>
  </si>
  <si>
    <t>Limited indexing</t>
  </si>
  <si>
    <t>Single node peformance</t>
  </si>
  <si>
    <t>number of categories</t>
  </si>
  <si>
    <t>Limited indexing:</t>
  </si>
  <si>
    <t>Resulting single node performance</t>
  </si>
  <si>
    <t>32Gb</t>
  </si>
  <si>
    <t>16Gb</t>
  </si>
  <si>
    <t xml:space="preserve"> 16Gb</t>
  </si>
  <si>
    <t>8Gb</t>
  </si>
  <si>
    <t>4Gb</t>
  </si>
  <si>
    <t>Use limited indexing (since IP 8.1.200.47)</t>
  </si>
  <si>
    <t>Data size per even, with Categories</t>
  </si>
  <si>
    <t>Limited indexing?</t>
  </si>
  <si>
    <t>full indexing</t>
  </si>
  <si>
    <t>limited indexing</t>
  </si>
  <si>
    <t>Resulting</t>
  </si>
  <si>
    <t>(not used)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</si>
</sst>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color rgb="FF000000"/>
      <name val="Arial"/>
    </font>
    <font>
      <sz val="11"/>
      <color theme="1"/>
      <name val="Calibri"/>
      <family val="2"/>
      <charset val="204"/>
      <scheme val="minor"/>
    </font>
    <font>
      <i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C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8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" fillId="0" borderId="0"/>
  </cellStyleXfs>
  <cellXfs count="86"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Alignment="1" applyProtection="1">
      <alignment wrapText="1"/>
    </xf>
    <xf numFmtId="0" fontId="0" fillId="0" borderId="0" xfId="0" applyProtection="1"/>
    <xf numFmtId="0" fontId="4" fillId="0" borderId="0" xfId="0" applyFont="1" applyBorder="1" applyAlignment="1" applyProtection="1">
      <alignment horizontal="left" wrapText="1"/>
    </xf>
    <xf numFmtId="1" fontId="0" fillId="0" borderId="0" xfId="0" applyNumberFormat="1" applyProtection="1"/>
    <xf numFmtId="0" fontId="4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</xf>
    <xf numFmtId="2" fontId="0" fillId="0" borderId="1" xfId="0" applyNumberFormat="1" applyBorder="1" applyAlignment="1" applyProtection="1">
      <alignment horizontal="center"/>
    </xf>
    <xf numFmtId="0" fontId="6" fillId="2" borderId="1" xfId="0" applyFont="1" applyFill="1" applyBorder="1" applyAlignment="1" applyProtection="1"/>
    <xf numFmtId="0" fontId="0" fillId="0" borderId="0" xfId="0" applyAlignment="1" applyProtection="1"/>
    <xf numFmtId="0" fontId="5" fillId="3" borderId="0" xfId="0" applyFont="1" applyFill="1" applyProtection="1">
      <protection locked="0"/>
    </xf>
    <xf numFmtId="2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 applyProtection="1"/>
    <xf numFmtId="0" fontId="9" fillId="0" borderId="0" xfId="0" applyFont="1" applyFill="1" applyAlignment="1" applyProtection="1"/>
    <xf numFmtId="9" fontId="5" fillId="3" borderId="0" xfId="1" applyFont="1" applyFill="1" applyProtection="1">
      <protection locked="0"/>
    </xf>
    <xf numFmtId="2" fontId="5" fillId="3" borderId="0" xfId="0" applyNumberFormat="1" applyFont="1" applyFill="1" applyProtection="1">
      <protection locked="0"/>
    </xf>
    <xf numFmtId="0" fontId="10" fillId="0" borderId="0" xfId="0" applyFont="1" applyAlignment="1" applyProtection="1"/>
    <xf numFmtId="0" fontId="11" fillId="0" borderId="0" xfId="2" applyFont="1" applyAlignment="1">
      <alignment wrapText="1"/>
    </xf>
    <xf numFmtId="0" fontId="5" fillId="0" borderId="0" xfId="2" applyAlignment="1">
      <alignment wrapText="1"/>
    </xf>
    <xf numFmtId="0" fontId="5" fillId="0" borderId="0" xfId="2" applyFont="1" applyAlignment="1">
      <alignment wrapText="1"/>
    </xf>
    <xf numFmtId="0" fontId="5" fillId="0" borderId="0" xfId="2" applyAlignment="1"/>
    <xf numFmtId="0" fontId="3" fillId="0" borderId="0" xfId="2" applyFont="1" applyAlignment="1"/>
    <xf numFmtId="0" fontId="3" fillId="0" borderId="3" xfId="2" applyFont="1" applyBorder="1" applyAlignment="1">
      <alignment horizontal="center" wrapText="1"/>
    </xf>
    <xf numFmtId="0" fontId="5" fillId="0" borderId="3" xfId="2" applyBorder="1" applyAlignment="1">
      <alignment wrapText="1"/>
    </xf>
    <xf numFmtId="0" fontId="5" fillId="0" borderId="1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5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0" fontId="2" fillId="0" borderId="0" xfId="0" applyFont="1" applyAlignment="1"/>
    <xf numFmtId="9" fontId="5" fillId="2" borderId="0" xfId="1" applyFont="1" applyFill="1" applyProtection="1"/>
    <xf numFmtId="0" fontId="12" fillId="0" borderId="0" xfId="0" applyFont="1" applyAlignment="1"/>
    <xf numFmtId="0" fontId="6" fillId="0" borderId="0" xfId="0" applyFont="1" applyProtection="1"/>
    <xf numFmtId="0" fontId="0" fillId="0" borderId="0" xfId="0" applyAlignment="1" applyProtection="1">
      <alignment wrapText="1"/>
      <protection locked="0" hidden="1"/>
    </xf>
    <xf numFmtId="0" fontId="5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0" fontId="1" fillId="0" borderId="0" xfId="4"/>
    <xf numFmtId="0" fontId="1" fillId="0" borderId="0" xfId="4"/>
    <xf numFmtId="0" fontId="1" fillId="0" borderId="0" xfId="4"/>
    <xf numFmtId="0" fontId="4" fillId="0" borderId="0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3" xfId="0" applyFont="1" applyBorder="1" applyAlignment="1" applyProtection="1">
      <alignment horizontal="left" wrapText="1"/>
    </xf>
    <xf numFmtId="0" fontId="6" fillId="0" borderId="0" xfId="0" applyFont="1" applyAlignment="1" applyProtection="1"/>
    <xf numFmtId="0" fontId="6" fillId="0" borderId="0" xfId="0" applyFont="1" applyProtection="1"/>
    <xf numFmtId="0" fontId="3" fillId="0" borderId="0" xfId="0" applyFont="1" applyProtection="1"/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5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6" fillId="0" borderId="1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4" fillId="0" borderId="3" xfId="2" applyFont="1" applyBorder="1" applyAlignment="1">
      <alignment horizontal="left"/>
    </xf>
    <xf numFmtId="0" fontId="3" fillId="0" borderId="4" xfId="2" applyFont="1" applyBorder="1" applyAlignment="1">
      <alignment horizontal="left"/>
    </xf>
    <xf numFmtId="0" fontId="5" fillId="0" borderId="4" xfId="2" applyBorder="1" applyAlignment="1">
      <alignment horizontal="center"/>
    </xf>
    <xf numFmtId="0" fontId="5" fillId="0" borderId="0" xfId="2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2" applyFont="1" applyBorder="1" applyAlignment="1">
      <alignment horizontal="left"/>
    </xf>
    <xf numFmtId="0" fontId="5" fillId="0" borderId="0" xfId="2" applyBorder="1" applyAlignment="1">
      <alignment horizontal="left" wrapText="1"/>
    </xf>
    <xf numFmtId="0" fontId="5" fillId="0" borderId="1" xfId="2" applyBorder="1" applyAlignment="1">
      <alignment horizontal="center" wrapText="1"/>
    </xf>
    <xf numFmtId="0" fontId="5" fillId="0" borderId="0" xfId="2" applyAlignment="1">
      <alignment horizontal="left"/>
    </xf>
    <xf numFmtId="0" fontId="5" fillId="0" borderId="0" xfId="2" applyBorder="1" applyAlignment="1">
      <alignment horizontal="left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0" applyFont="1" applyAlignment="1">
      <alignment wrapText="1"/>
    </xf>
  </cellXfs>
  <cellStyles count="5">
    <cellStyle name="Обычный" xfId="0" builtinId="0"/>
    <cellStyle name="Обычный 2" xfId="2"/>
    <cellStyle name="Обычный 3" xfId="4"/>
    <cellStyle name="Процентный" xfId="1" builtinId="5"/>
    <cellStyle name="Процентный 2" xfId="3"/>
  </cellStyles>
  <dxfs count="5">
    <dxf>
      <font>
        <color rgb="FFC00000"/>
      </font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fmlaLink="$F$15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14</xdr:row>
          <xdr:rowOff>9525</xdr:rowOff>
        </xdr:from>
        <xdr:to>
          <xdr:col>5</xdr:col>
          <xdr:colOff>923925</xdr:colOff>
          <xdr:row>15</xdr:row>
          <xdr:rowOff>38100</xdr:rowOff>
        </xdr:to>
        <xdr:sp macro="" textlink="">
          <xdr:nvSpPr>
            <xdr:cNvPr id="1026" name="I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Worksheet____1"/>
  <dimension ref="A1:P45"/>
  <sheetViews>
    <sheetView showGridLines="0" tabSelected="1" zoomScaleNormal="100" workbookViewId="0">
      <selection activeCell="F5" sqref="F5"/>
    </sheetView>
  </sheetViews>
  <sheetFormatPr defaultColWidth="17.140625" defaultRowHeight="12.75" customHeight="1" x14ac:dyDescent="0.2"/>
  <cols>
    <col min="1" max="1" width="11.140625" style="9" customWidth="1"/>
    <col min="2" max="2" width="11.28515625" style="9" customWidth="1"/>
    <col min="3" max="3" width="11" style="9" customWidth="1"/>
    <col min="4" max="4" width="16.140625" style="9" customWidth="1"/>
    <col min="5" max="5" width="13" style="9" customWidth="1"/>
    <col min="6" max="6" width="16.42578125" style="9" customWidth="1"/>
    <col min="7" max="7" width="15.7109375" style="9" customWidth="1"/>
    <col min="8" max="8" width="10.42578125" style="9" customWidth="1"/>
    <col min="9" max="10" width="17.140625" style="9"/>
    <col min="11" max="11" width="10.7109375" style="9" customWidth="1"/>
    <col min="12" max="16384" width="17.140625" style="9"/>
  </cols>
  <sheetData>
    <row r="1" spans="1:9" ht="12.75" customHeight="1" x14ac:dyDescent="0.2">
      <c r="A1" s="56" t="s">
        <v>40</v>
      </c>
      <c r="B1" s="56"/>
      <c r="C1" s="56"/>
      <c r="D1" s="56"/>
      <c r="E1" s="56"/>
      <c r="F1" s="56"/>
      <c r="G1" s="56"/>
      <c r="H1" s="8"/>
    </row>
    <row r="2" spans="1:9" ht="12.75" customHeight="1" x14ac:dyDescent="0.3">
      <c r="A2" s="56"/>
      <c r="B2" s="56"/>
      <c r="C2" s="56"/>
      <c r="D2" s="56"/>
      <c r="E2" s="56"/>
      <c r="F2" s="56"/>
      <c r="G2" s="56"/>
      <c r="H2" s="10"/>
    </row>
    <row r="3" spans="1:9" ht="12" customHeight="1" thickBot="1" x14ac:dyDescent="0.35">
      <c r="A3" s="57"/>
      <c r="B3" s="57"/>
      <c r="C3" s="57"/>
      <c r="D3" s="57"/>
      <c r="E3" s="57"/>
      <c r="F3" s="57"/>
      <c r="G3" s="57"/>
      <c r="H3" s="10"/>
    </row>
    <row r="4" spans="1:9" ht="12" customHeight="1" x14ac:dyDescent="0.2">
      <c r="A4" s="11"/>
    </row>
    <row r="5" spans="1:9" ht="12.75" customHeight="1" x14ac:dyDescent="0.2">
      <c r="A5" s="60" t="s">
        <v>0</v>
      </c>
      <c r="B5" s="60"/>
      <c r="C5" s="60"/>
      <c r="D5" s="60"/>
      <c r="F5" s="20">
        <v>40000</v>
      </c>
      <c r="G5" s="26"/>
      <c r="H5" s="12"/>
      <c r="I5" s="12"/>
    </row>
    <row r="6" spans="1:9" ht="12.75" customHeight="1" x14ac:dyDescent="0.2">
      <c r="A6" s="60" t="s">
        <v>58</v>
      </c>
      <c r="B6" s="60"/>
      <c r="C6" s="60"/>
      <c r="D6" s="60"/>
      <c r="F6" s="28">
        <v>5</v>
      </c>
      <c r="G6" s="26"/>
      <c r="H6" s="12"/>
    </row>
    <row r="7" spans="1:9" ht="12.75" customHeight="1" x14ac:dyDescent="0.2">
      <c r="A7" s="25" t="s">
        <v>1</v>
      </c>
      <c r="B7" s="25"/>
      <c r="C7" s="25"/>
      <c r="D7" s="25"/>
      <c r="F7" s="20">
        <v>100000</v>
      </c>
      <c r="G7" s="26"/>
      <c r="H7" s="12"/>
    </row>
    <row r="8" spans="1:9" ht="12.75" customHeight="1" x14ac:dyDescent="0.2">
      <c r="F8" s="11"/>
      <c r="G8" s="12"/>
      <c r="H8" s="12"/>
    </row>
    <row r="9" spans="1:9" x14ac:dyDescent="0.2">
      <c r="A9" s="61" t="s">
        <v>2</v>
      </c>
      <c r="B9" s="61"/>
      <c r="C9" s="61"/>
      <c r="D9" s="61"/>
      <c r="F9" s="20">
        <v>0.5</v>
      </c>
      <c r="G9" s="12"/>
      <c r="H9" s="12"/>
    </row>
    <row r="10" spans="1:9" x14ac:dyDescent="0.2">
      <c r="A10" s="62" t="s">
        <v>105</v>
      </c>
      <c r="B10" s="61"/>
      <c r="C10" s="61"/>
      <c r="D10" s="61"/>
      <c r="E10" s="61"/>
      <c r="F10" s="27">
        <v>0.05</v>
      </c>
    </row>
    <row r="11" spans="1:9" x14ac:dyDescent="0.2">
      <c r="A11" s="61" t="s">
        <v>44</v>
      </c>
      <c r="B11" s="61"/>
      <c r="C11" s="61"/>
      <c r="D11" s="61"/>
      <c r="F11" s="47">
        <f>IF(AND(Category1PagesPart+Category2PagesPart&lt;=1,Category1PagesPart&gt;=0,Category1PagesPart&lt;=1,Category2PagesPart&gt;=0,Category2PagesPart&lt;=1),1-(Category1PagesPart+Category2PagesPart),1)</f>
        <v>0.5</v>
      </c>
      <c r="G11" s="29" t="str">
        <f>IF(SUM(F11:F13)&gt;1,"The total % of page views should not be &gt; 100%","")</f>
        <v/>
      </c>
    </row>
    <row r="12" spans="1:9" x14ac:dyDescent="0.2">
      <c r="A12" s="61" t="s">
        <v>45</v>
      </c>
      <c r="B12" s="61"/>
      <c r="C12" s="61"/>
      <c r="D12" s="61"/>
      <c r="E12" s="61"/>
      <c r="F12" s="27">
        <v>0.5</v>
      </c>
    </row>
    <row r="13" spans="1:9" x14ac:dyDescent="0.2">
      <c r="A13" s="61" t="s">
        <v>46</v>
      </c>
      <c r="B13" s="61"/>
      <c r="C13" s="61"/>
      <c r="D13" s="61"/>
      <c r="E13" s="61"/>
      <c r="F13" s="27">
        <v>0</v>
      </c>
      <c r="I13" s="12"/>
    </row>
    <row r="14" spans="1:9" x14ac:dyDescent="0.2">
      <c r="A14" s="49"/>
      <c r="B14" s="49"/>
      <c r="C14" s="49"/>
      <c r="D14" s="49"/>
      <c r="E14" s="49"/>
      <c r="F14" s="49"/>
      <c r="I14" s="12"/>
    </row>
    <row r="15" spans="1:9" ht="12.75" customHeight="1" x14ac:dyDescent="0.2">
      <c r="A15" s="69" t="s">
        <v>120</v>
      </c>
      <c r="B15" s="69"/>
      <c r="C15" s="69"/>
      <c r="D15" s="69"/>
      <c r="E15" s="69"/>
      <c r="F15" s="50" t="b">
        <v>1</v>
      </c>
      <c r="I15" s="12"/>
    </row>
    <row r="16" spans="1:9" ht="15.75" customHeight="1" x14ac:dyDescent="0.3">
      <c r="A16" s="58" t="s">
        <v>38</v>
      </c>
      <c r="B16" s="58"/>
      <c r="C16" s="58"/>
      <c r="D16" s="58"/>
      <c r="E16" s="58"/>
      <c r="F16" s="58"/>
      <c r="G16" s="58"/>
      <c r="H16" s="13"/>
      <c r="I16" s="12"/>
    </row>
    <row r="17" spans="1:16" ht="15.75" customHeight="1" x14ac:dyDescent="0.3">
      <c r="A17" s="58"/>
      <c r="B17" s="58"/>
      <c r="C17" s="58"/>
      <c r="D17" s="58"/>
      <c r="E17" s="58"/>
      <c r="F17" s="58"/>
      <c r="G17" s="58"/>
      <c r="H17" s="13"/>
      <c r="I17" s="12"/>
    </row>
    <row r="18" spans="1:16" ht="15.75" customHeight="1" x14ac:dyDescent="0.3">
      <c r="A18" s="59"/>
      <c r="B18" s="59"/>
      <c r="C18" s="59"/>
      <c r="D18" s="59"/>
      <c r="E18" s="59"/>
      <c r="F18" s="59"/>
      <c r="G18" s="59"/>
      <c r="H18" s="13"/>
      <c r="I18" s="12"/>
    </row>
    <row r="19" spans="1:16" ht="15.75" customHeight="1" x14ac:dyDescent="0.3">
      <c r="A19" s="13"/>
      <c r="B19" s="13"/>
      <c r="C19" s="13"/>
      <c r="D19" s="13"/>
      <c r="E19" s="13"/>
      <c r="F19" s="13"/>
      <c r="G19" s="13"/>
      <c r="H19" s="13"/>
      <c r="I19" s="12"/>
    </row>
    <row r="20" spans="1:16" ht="13.5" customHeight="1" x14ac:dyDescent="0.2">
      <c r="A20" s="63" t="s">
        <v>41</v>
      </c>
      <c r="B20" s="64"/>
      <c r="C20" s="64"/>
      <c r="D20" s="64"/>
      <c r="F20" s="14">
        <f>RequestsPerSecond</f>
        <v>537.5</v>
      </c>
      <c r="I20" s="12"/>
    </row>
    <row r="21" spans="1:16" ht="13.5" customHeight="1" x14ac:dyDescent="0.2">
      <c r="A21" s="42"/>
      <c r="B21" s="43"/>
      <c r="C21" s="43"/>
      <c r="D21" s="43"/>
      <c r="F21" s="14"/>
      <c r="I21" s="12"/>
    </row>
    <row r="22" spans="1:16" ht="15.75" customHeight="1" x14ac:dyDescent="0.2">
      <c r="A22" s="63" t="s">
        <v>42</v>
      </c>
      <c r="B22" s="64"/>
      <c r="C22" s="64"/>
      <c r="D22" s="64"/>
      <c r="F22" s="12">
        <f>AdjFENodes</f>
        <v>2</v>
      </c>
      <c r="G22" s="29" t="str">
        <f>IF(F22&gt;MaxFENodes, "There is no guarantee that proposed cluster will be able to completely serve specified load","")</f>
        <v/>
      </c>
      <c r="I22" s="12"/>
    </row>
    <row r="23" spans="1:16" ht="15.75" customHeight="1" x14ac:dyDescent="0.2">
      <c r="A23" s="42"/>
      <c r="B23" s="43"/>
      <c r="C23" s="43"/>
      <c r="D23" s="43"/>
      <c r="F23" s="12"/>
      <c r="G23" s="29"/>
      <c r="I23" s="12"/>
    </row>
    <row r="24" spans="1:16" ht="15.75" customHeight="1" x14ac:dyDescent="0.2">
      <c r="A24" s="42" t="s">
        <v>43</v>
      </c>
      <c r="B24" s="43"/>
      <c r="C24" s="43"/>
      <c r="D24" s="43"/>
      <c r="F24" s="12">
        <f>AdjMinBENodes</f>
        <v>3</v>
      </c>
      <c r="G24" s="29"/>
      <c r="I24" s="12"/>
    </row>
    <row r="25" spans="1:16" ht="15.75" customHeight="1" x14ac:dyDescent="0.3">
      <c r="A25" s="63" t="s">
        <v>96</v>
      </c>
      <c r="B25" s="63"/>
      <c r="C25" s="63"/>
      <c r="D25" s="63"/>
      <c r="F25" s="12">
        <f>AdjBENodes</f>
        <v>3</v>
      </c>
      <c r="G25" s="29" t="str">
        <f>IF(F22&gt;=LimitFENodes, CONCATENATE("This calculator is not purposed to calculate nodes count greater than ",LimitFENodes),"")</f>
        <v/>
      </c>
      <c r="I25" s="15"/>
      <c r="J25" s="15"/>
      <c r="K25" s="15"/>
      <c r="L25" s="15"/>
      <c r="M25" s="15"/>
      <c r="N25" s="15"/>
      <c r="O25" s="15"/>
      <c r="P25" s="15"/>
    </row>
    <row r="26" spans="1:16" ht="13.5" customHeight="1" x14ac:dyDescent="0.3">
      <c r="A26" s="58" t="s">
        <v>39</v>
      </c>
      <c r="B26" s="58"/>
      <c r="C26" s="58"/>
      <c r="D26" s="58"/>
      <c r="E26" s="58"/>
      <c r="F26" s="58"/>
      <c r="G26" s="58"/>
      <c r="H26" s="13"/>
    </row>
    <row r="27" spans="1:16" ht="13.5" customHeight="1" x14ac:dyDescent="0.3">
      <c r="A27" s="58"/>
      <c r="B27" s="58"/>
      <c r="C27" s="58"/>
      <c r="D27" s="58"/>
      <c r="E27" s="58"/>
      <c r="F27" s="58"/>
      <c r="G27" s="58"/>
      <c r="H27" s="13"/>
    </row>
    <row r="28" spans="1:16" ht="15" customHeight="1" x14ac:dyDescent="0.3">
      <c r="A28" s="59"/>
      <c r="B28" s="59"/>
      <c r="C28" s="59"/>
      <c r="D28" s="59"/>
      <c r="E28" s="59"/>
      <c r="F28" s="59"/>
      <c r="G28" s="59"/>
      <c r="H28" s="13"/>
    </row>
    <row r="29" spans="1:16" ht="15" customHeight="1" x14ac:dyDescent="0.3">
      <c r="A29" s="13"/>
      <c r="B29" s="13"/>
      <c r="C29" s="13"/>
      <c r="D29" s="13"/>
      <c r="E29" s="13"/>
      <c r="F29" s="13"/>
      <c r="G29" s="13"/>
      <c r="H29" s="13"/>
    </row>
    <row r="30" spans="1:16" ht="12.75" customHeight="1" x14ac:dyDescent="0.25">
      <c r="A30" s="16" t="s">
        <v>56</v>
      </c>
      <c r="C30" s="19"/>
      <c r="D30" s="19"/>
      <c r="E30" s="19"/>
      <c r="F30" s="19"/>
      <c r="G30" s="19"/>
    </row>
    <row r="31" spans="1:16" ht="12.75" customHeight="1" x14ac:dyDescent="0.2">
      <c r="B31" s="68" t="s">
        <v>49</v>
      </c>
      <c r="C31" s="67" t="s">
        <v>3</v>
      </c>
      <c r="D31" s="67" t="s">
        <v>4</v>
      </c>
      <c r="E31" s="67" t="s">
        <v>5</v>
      </c>
      <c r="F31" s="67" t="s">
        <v>6</v>
      </c>
      <c r="G31" s="67" t="s">
        <v>7</v>
      </c>
    </row>
    <row r="32" spans="1:16" ht="15.75" customHeight="1" x14ac:dyDescent="0.2">
      <c r="B32" s="68"/>
      <c r="C32" s="67"/>
      <c r="D32" s="67"/>
      <c r="E32" s="67"/>
      <c r="F32" s="67"/>
      <c r="G32" s="67"/>
    </row>
    <row r="33" spans="1:8" x14ac:dyDescent="0.2">
      <c r="B33" s="18">
        <v>3</v>
      </c>
      <c r="C33" s="17">
        <f>(EventsPerHour*AvgEventSizeCompressed)/ByteToGb*B33</f>
        <v>1.9474380414001642</v>
      </c>
      <c r="D33" s="17">
        <f>C33*24</f>
        <v>46.738512993603941</v>
      </c>
      <c r="E33" s="17">
        <f>D33*7</f>
        <v>327.16959095522759</v>
      </c>
      <c r="F33" s="17">
        <f>(D33*365)/12</f>
        <v>1421.62977022212</v>
      </c>
      <c r="G33" s="17">
        <f>D33*365</f>
        <v>17059.55724266544</v>
      </c>
    </row>
    <row r="34" spans="1:8" ht="12.75" customHeight="1" x14ac:dyDescent="0.2">
      <c r="A34" s="12"/>
      <c r="B34" s="12"/>
      <c r="C34" s="12"/>
      <c r="D34" s="65"/>
      <c r="E34" s="66"/>
      <c r="F34" s="66"/>
      <c r="G34" s="12"/>
      <c r="H34" s="12"/>
    </row>
    <row r="35" spans="1:8" ht="12.75" customHeight="1" x14ac:dyDescent="0.2">
      <c r="A35" s="12"/>
      <c r="B35" s="12"/>
      <c r="C35" s="12"/>
      <c r="D35" s="12"/>
      <c r="E35" s="12"/>
      <c r="F35" s="12"/>
      <c r="G35" s="12"/>
      <c r="H35" s="12"/>
    </row>
    <row r="36" spans="1:8" ht="12.75" customHeight="1" x14ac:dyDescent="0.2">
      <c r="A36" s="12"/>
      <c r="B36" s="12"/>
      <c r="C36" s="12"/>
      <c r="D36" s="12"/>
      <c r="E36" s="12"/>
      <c r="F36" s="12"/>
      <c r="G36" s="12"/>
      <c r="H36" s="12"/>
    </row>
    <row r="37" spans="1:8" ht="12.75" customHeight="1" x14ac:dyDescent="0.2">
      <c r="A37" s="12"/>
      <c r="B37" s="12"/>
      <c r="C37" s="12"/>
      <c r="D37" s="12"/>
      <c r="E37" s="12"/>
      <c r="F37" s="12"/>
      <c r="G37" s="12"/>
      <c r="H37" s="12"/>
    </row>
    <row r="38" spans="1:8" ht="12.75" customHeight="1" x14ac:dyDescent="0.2">
      <c r="A38" s="12"/>
      <c r="B38" s="12"/>
      <c r="C38" s="12"/>
      <c r="D38" s="12"/>
      <c r="E38" s="12"/>
      <c r="F38" s="12"/>
      <c r="G38" s="12"/>
      <c r="H38" s="12"/>
    </row>
    <row r="39" spans="1:8" ht="12.75" customHeight="1" x14ac:dyDescent="0.2">
      <c r="A39" s="12"/>
      <c r="B39" s="12"/>
      <c r="C39" s="12"/>
      <c r="D39" s="12"/>
      <c r="E39" s="12"/>
      <c r="F39" s="12"/>
      <c r="G39" s="12"/>
      <c r="H39" s="12"/>
    </row>
    <row r="40" spans="1:8" ht="12.75" customHeight="1" x14ac:dyDescent="0.2">
      <c r="A40" s="12"/>
      <c r="B40" s="12"/>
      <c r="C40" s="12"/>
      <c r="D40" s="12"/>
      <c r="E40" s="12"/>
      <c r="F40" s="12"/>
      <c r="G40" s="12"/>
      <c r="H40" s="12"/>
    </row>
    <row r="41" spans="1:8" ht="12.75" customHeight="1" x14ac:dyDescent="0.2">
      <c r="A41" s="12"/>
      <c r="B41" s="12"/>
      <c r="C41" s="12"/>
      <c r="D41" s="12"/>
      <c r="E41" s="12"/>
      <c r="F41" s="12"/>
      <c r="G41" s="12"/>
      <c r="H41" s="12"/>
    </row>
    <row r="42" spans="1:8" ht="12.75" customHeight="1" x14ac:dyDescent="0.2">
      <c r="A42" s="12"/>
      <c r="B42" s="12"/>
      <c r="C42" s="12"/>
      <c r="D42" s="12"/>
      <c r="E42" s="12"/>
      <c r="F42" s="12"/>
      <c r="G42" s="12"/>
      <c r="H42" s="12"/>
    </row>
    <row r="43" spans="1:8" ht="12.75" customHeight="1" x14ac:dyDescent="0.2">
      <c r="A43" s="12"/>
      <c r="B43" s="12"/>
      <c r="C43" s="12"/>
      <c r="D43" s="12"/>
      <c r="E43" s="12"/>
      <c r="F43" s="12"/>
      <c r="G43" s="12"/>
      <c r="H43" s="12"/>
    </row>
    <row r="44" spans="1:8" ht="12.75" customHeight="1" x14ac:dyDescent="0.2">
      <c r="A44" s="12"/>
      <c r="B44" s="12"/>
      <c r="C44" s="12"/>
      <c r="D44" s="12"/>
      <c r="E44" s="12"/>
      <c r="F44" s="12"/>
      <c r="G44" s="12"/>
      <c r="H44" s="12"/>
    </row>
    <row r="45" spans="1:8" ht="12.75" customHeight="1" x14ac:dyDescent="0.2">
      <c r="A45" s="12"/>
      <c r="B45" s="12"/>
      <c r="C45" s="12"/>
      <c r="D45" s="12"/>
      <c r="E45" s="12"/>
      <c r="F45" s="12"/>
      <c r="G45" s="12"/>
      <c r="H45" s="12"/>
    </row>
  </sheetData>
  <sheetProtection password="D402" sheet="1" objects="1" scenarios="1" selectLockedCells="1"/>
  <mergeCells count="21">
    <mergeCell ref="D34:F34"/>
    <mergeCell ref="A5:D5"/>
    <mergeCell ref="G31:G32"/>
    <mergeCell ref="F31:F32"/>
    <mergeCell ref="E31:E32"/>
    <mergeCell ref="B31:B32"/>
    <mergeCell ref="D31:D32"/>
    <mergeCell ref="C31:C32"/>
    <mergeCell ref="A15:E15"/>
    <mergeCell ref="A1:G3"/>
    <mergeCell ref="A16:G18"/>
    <mergeCell ref="A26:G28"/>
    <mergeCell ref="A6:D6"/>
    <mergeCell ref="A9:D9"/>
    <mergeCell ref="A10:E10"/>
    <mergeCell ref="A25:D25"/>
    <mergeCell ref="A22:D22"/>
    <mergeCell ref="A20:D20"/>
    <mergeCell ref="A11:D11"/>
    <mergeCell ref="A12:E12"/>
    <mergeCell ref="A13:E13"/>
  </mergeCells>
  <conditionalFormatting sqref="F7">
    <cfRule type="cellIs" dxfId="4" priority="6" stopIfTrue="1" operator="lessThan">
      <formula>VisitsPerHour</formula>
    </cfRule>
  </conditionalFormatting>
  <conditionalFormatting sqref="F5">
    <cfRule type="cellIs" dxfId="3" priority="8" stopIfTrue="1" operator="greaterThan">
      <formula>$F$7</formula>
    </cfRule>
  </conditionalFormatting>
  <conditionalFormatting sqref="F9:F13 F5:F7">
    <cfRule type="containsBlanks" dxfId="2" priority="3" stopIfTrue="1">
      <formula>LEN(TRIM(F5))=0</formula>
    </cfRule>
  </conditionalFormatting>
  <conditionalFormatting sqref="F5:F7 F9:F13">
    <cfRule type="cellIs" dxfId="1" priority="2" stopIfTrue="1" operator="lessThan">
      <formula>0</formula>
    </cfRule>
  </conditionalFormatting>
  <conditionalFormatting sqref="F10:F13">
    <cfRule type="cellIs" dxfId="0" priority="1" stopIfTrue="1" operator="notBetween">
      <formula>0</formula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I1">
              <controlPr locked="0" defaultSize="0" autoFill="0" autoLine="0" autoPict="0" altText="">
                <anchor moveWithCells="1">
                  <from>
                    <xdr:col>5</xdr:col>
                    <xdr:colOff>9525</xdr:colOff>
                    <xdr:row>14</xdr:row>
                    <xdr:rowOff>9525</xdr:rowOff>
                  </from>
                  <to>
                    <xdr:col>5</xdr:col>
                    <xdr:colOff>923925</xdr:colOff>
                    <xdr:row>15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orksheet____2"/>
  <dimension ref="A1:F22"/>
  <sheetViews>
    <sheetView showGridLines="0" workbookViewId="0">
      <selection activeCell="C5" sqref="C5:D5"/>
    </sheetView>
  </sheetViews>
  <sheetFormatPr defaultRowHeight="12.75" x14ac:dyDescent="0.2"/>
  <cols>
    <col min="1" max="1" width="27.140625" style="31" customWidth="1"/>
    <col min="2" max="2" width="15.85546875" style="31" customWidth="1"/>
    <col min="3" max="3" width="22.42578125" style="31" customWidth="1"/>
    <col min="4" max="4" width="24.7109375" style="31" customWidth="1"/>
    <col min="5" max="16384" width="9.140625" style="31"/>
  </cols>
  <sheetData>
    <row r="1" spans="1:6" ht="20.25" x14ac:dyDescent="0.3">
      <c r="A1" s="70" t="s">
        <v>78</v>
      </c>
      <c r="B1" s="70"/>
      <c r="C1" s="70"/>
      <c r="D1" s="70"/>
    </row>
    <row r="3" spans="1:6" x14ac:dyDescent="0.2">
      <c r="A3" s="36"/>
      <c r="B3" s="36"/>
      <c r="C3" s="35" t="s">
        <v>77</v>
      </c>
      <c r="D3" s="35" t="s">
        <v>76</v>
      </c>
    </row>
    <row r="4" spans="1:6" x14ac:dyDescent="0.2">
      <c r="A4" s="71" t="s">
        <v>75</v>
      </c>
      <c r="B4" s="71"/>
      <c r="C4" s="72"/>
      <c r="D4" s="72"/>
      <c r="E4" s="33"/>
      <c r="F4" s="33"/>
    </row>
    <row r="5" spans="1:6" x14ac:dyDescent="0.2">
      <c r="A5" s="73" t="s">
        <v>71</v>
      </c>
      <c r="B5" s="73"/>
      <c r="C5" s="74" t="s">
        <v>89</v>
      </c>
      <c r="D5" s="74"/>
      <c r="E5" s="33"/>
      <c r="F5" s="33"/>
    </row>
    <row r="6" spans="1:6" x14ac:dyDescent="0.2">
      <c r="A6" s="73" t="s">
        <v>70</v>
      </c>
      <c r="B6" s="73"/>
      <c r="C6" s="37" t="s">
        <v>116</v>
      </c>
      <c r="D6" s="37" t="s">
        <v>115</v>
      </c>
      <c r="E6" s="33"/>
      <c r="F6" s="33"/>
    </row>
    <row r="7" spans="1:6" x14ac:dyDescent="0.2">
      <c r="A7" s="73" t="s">
        <v>74</v>
      </c>
      <c r="B7" s="73"/>
      <c r="C7" s="74" t="s">
        <v>73</v>
      </c>
      <c r="D7" s="75"/>
      <c r="E7" s="33"/>
      <c r="F7" s="33"/>
    </row>
    <row r="8" spans="1:6" x14ac:dyDescent="0.2">
      <c r="A8" s="76"/>
      <c r="B8" s="76"/>
      <c r="C8" s="77"/>
      <c r="D8" s="77"/>
      <c r="E8" s="33"/>
      <c r="F8" s="33"/>
    </row>
    <row r="9" spans="1:6" x14ac:dyDescent="0.2">
      <c r="A9" s="78" t="s">
        <v>72</v>
      </c>
      <c r="B9" s="78"/>
      <c r="C9" s="77"/>
      <c r="D9" s="77"/>
      <c r="E9" s="33"/>
      <c r="F9" s="33"/>
    </row>
    <row r="10" spans="1:6" x14ac:dyDescent="0.2">
      <c r="A10" s="73" t="s">
        <v>71</v>
      </c>
      <c r="B10" s="73"/>
      <c r="C10" s="75" t="s">
        <v>89</v>
      </c>
      <c r="D10" s="75"/>
      <c r="E10" s="33"/>
      <c r="F10" s="33"/>
    </row>
    <row r="11" spans="1:6" x14ac:dyDescent="0.2">
      <c r="A11" s="73" t="s">
        <v>70</v>
      </c>
      <c r="B11" s="73"/>
      <c r="C11" s="37" t="s">
        <v>118</v>
      </c>
      <c r="D11" s="37" t="s">
        <v>117</v>
      </c>
      <c r="E11" s="33"/>
      <c r="F11" s="33"/>
    </row>
    <row r="12" spans="1:6" x14ac:dyDescent="0.2">
      <c r="A12" s="33"/>
      <c r="B12" s="33"/>
      <c r="C12" s="33"/>
      <c r="D12" s="33"/>
      <c r="E12" s="33"/>
      <c r="F12" s="33"/>
    </row>
    <row r="13" spans="1:6" ht="20.25" x14ac:dyDescent="0.3">
      <c r="A13" s="70" t="s">
        <v>69</v>
      </c>
      <c r="B13" s="70"/>
      <c r="C13" s="70"/>
      <c r="D13" s="70"/>
      <c r="E13" s="33"/>
      <c r="F13" s="33"/>
    </row>
    <row r="14" spans="1:6" x14ac:dyDescent="0.2">
      <c r="A14" s="7" t="s">
        <v>79</v>
      </c>
      <c r="B14" s="7"/>
      <c r="C14" s="7" t="s">
        <v>80</v>
      </c>
      <c r="D14" s="7"/>
      <c r="E14" s="33"/>
      <c r="F14" s="33"/>
    </row>
    <row r="15" spans="1:6" x14ac:dyDescent="0.2">
      <c r="A15" s="81" t="s">
        <v>68</v>
      </c>
      <c r="B15" s="81"/>
      <c r="C15" s="33" t="s">
        <v>67</v>
      </c>
      <c r="D15" s="33"/>
      <c r="E15" s="33"/>
      <c r="F15" s="33"/>
    </row>
    <row r="16" spans="1:6" x14ac:dyDescent="0.2">
      <c r="A16" s="33"/>
      <c r="B16" s="33"/>
      <c r="C16" s="33"/>
      <c r="D16" s="33"/>
      <c r="E16" s="33"/>
      <c r="F16" s="33"/>
    </row>
    <row r="17" spans="1:6" x14ac:dyDescent="0.2">
      <c r="A17" s="31" t="s">
        <v>66</v>
      </c>
      <c r="B17" s="33"/>
      <c r="C17" s="34" t="s">
        <v>65</v>
      </c>
      <c r="D17" s="34" t="s">
        <v>64</v>
      </c>
      <c r="E17" s="33"/>
      <c r="F17" s="33"/>
    </row>
    <row r="18" spans="1:6" x14ac:dyDescent="0.2">
      <c r="A18" s="82" t="s">
        <v>63</v>
      </c>
      <c r="B18" s="82"/>
      <c r="C18" s="83" t="s">
        <v>119</v>
      </c>
      <c r="D18" s="84"/>
      <c r="E18" s="33"/>
      <c r="F18" s="33"/>
    </row>
    <row r="19" spans="1:6" x14ac:dyDescent="0.2">
      <c r="A19" s="79" t="s">
        <v>62</v>
      </c>
      <c r="B19" s="79"/>
      <c r="C19" s="80" t="s">
        <v>118</v>
      </c>
      <c r="D19" s="80"/>
    </row>
    <row r="20" spans="1:6" x14ac:dyDescent="0.2">
      <c r="A20" s="32"/>
    </row>
    <row r="21" spans="1:6" x14ac:dyDescent="0.2">
      <c r="A21" s="32"/>
    </row>
    <row r="22" spans="1:6" ht="25.5" customHeight="1" x14ac:dyDescent="0.2"/>
  </sheetData>
  <sheetProtection password="D402" sheet="1" objects="1" scenarios="1"/>
  <mergeCells count="21">
    <mergeCell ref="A9:B9"/>
    <mergeCell ref="C9:D9"/>
    <mergeCell ref="A19:B19"/>
    <mergeCell ref="C19:D19"/>
    <mergeCell ref="A10:B10"/>
    <mergeCell ref="C10:D10"/>
    <mergeCell ref="A11:B11"/>
    <mergeCell ref="A13:D13"/>
    <mergeCell ref="A15:B15"/>
    <mergeCell ref="A18:B18"/>
    <mergeCell ref="C18:D18"/>
    <mergeCell ref="A6:B6"/>
    <mergeCell ref="A7:B7"/>
    <mergeCell ref="C7:D7"/>
    <mergeCell ref="A8:B8"/>
    <mergeCell ref="C8:D8"/>
    <mergeCell ref="A1:D1"/>
    <mergeCell ref="A4:B4"/>
    <mergeCell ref="C4:D4"/>
    <mergeCell ref="A5:B5"/>
    <mergeCell ref="C5:D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orksheet____3"/>
  <dimension ref="A2:D15"/>
  <sheetViews>
    <sheetView topLeftCell="A4" workbookViewId="0">
      <selection activeCell="D8" sqref="D8"/>
    </sheetView>
  </sheetViews>
  <sheetFormatPr defaultColWidth="17.140625" defaultRowHeight="12.75" customHeight="1" x14ac:dyDescent="0.2"/>
  <sheetData>
    <row r="2" spans="1:4" ht="12.75" customHeight="1" x14ac:dyDescent="0.2">
      <c r="A2" t="s">
        <v>8</v>
      </c>
      <c r="C2">
        <f>EventsPerPageDef+CustomEventsPerPage</f>
        <v>2.5</v>
      </c>
    </row>
    <row r="3" spans="1:4" ht="12.75" customHeight="1" x14ac:dyDescent="0.2">
      <c r="A3" s="85" t="s">
        <v>9</v>
      </c>
      <c r="B3" s="85"/>
      <c r="C3">
        <f>EventsPerVisitDef+CustomEventsPerVisit</f>
        <v>1.05</v>
      </c>
    </row>
    <row r="4" spans="1:4" ht="12.75" customHeight="1" x14ac:dyDescent="0.2">
      <c r="A4" t="s">
        <v>60</v>
      </c>
      <c r="C4">
        <f>VisitsPerHour*AvgPagesPerVisit</f>
        <v>200000</v>
      </c>
    </row>
    <row r="5" spans="1:4" ht="12.75" customHeight="1" x14ac:dyDescent="0.2">
      <c r="A5" t="s">
        <v>10</v>
      </c>
      <c r="C5">
        <f>VisitsPerHour*EventsPerVisit +PagesPerHour*EventsPerPage</f>
        <v>542000</v>
      </c>
    </row>
    <row r="7" spans="1:4" ht="12.75" customHeight="1" x14ac:dyDescent="0.2">
      <c r="C7" s="1" t="s">
        <v>11</v>
      </c>
      <c r="D7" t="s">
        <v>12</v>
      </c>
    </row>
    <row r="8" spans="1:4" ht="12.75" customHeight="1" x14ac:dyDescent="0.2">
      <c r="A8" s="3" t="s">
        <v>50</v>
      </c>
      <c r="C8" s="52">
        <f>((EventSizeCat0Compr0*Category0PagesPart) +( EventSizeCat1Compr0*Category1PagesPart)) +( EventSizeCat2Compr0*Category2PagesPart)</f>
        <v>12186.840807</v>
      </c>
      <c r="D8" s="21">
        <f>((EventSizeCat0*Category0PagesPart) +( EventSizeCat1*Category1PagesPart)) +( EventSizeCat2*Category2PagesPart)</f>
        <v>1286.00595</v>
      </c>
    </row>
    <row r="9" spans="1:4" ht="12.75" customHeight="1" x14ac:dyDescent="0.2">
      <c r="C9" s="1" t="s">
        <v>126</v>
      </c>
    </row>
    <row r="10" spans="1:4" ht="12.75" customHeight="1" x14ac:dyDescent="0.2">
      <c r="A10" s="4" t="s">
        <v>51</v>
      </c>
    </row>
    <row r="11" spans="1:4" ht="12.75" customHeight="1" x14ac:dyDescent="0.2">
      <c r="A11" s="4" t="s">
        <v>55</v>
      </c>
      <c r="B11">
        <f>3600</f>
        <v>3600</v>
      </c>
    </row>
    <row r="12" spans="1:4" ht="12.75" customHeight="1" x14ac:dyDescent="0.2">
      <c r="A12" s="7" t="s">
        <v>13</v>
      </c>
      <c r="C12" s="21">
        <f>(AvgEventSize*EventsPerHour)/((1024*1024)*1024)</f>
        <v>6.1516349365878851</v>
      </c>
    </row>
    <row r="13" spans="1:4" ht="12.75" customHeight="1" x14ac:dyDescent="0.2">
      <c r="A13" t="s">
        <v>14</v>
      </c>
      <c r="C13" s="21">
        <f>C12*24</f>
        <v>147.63923847810923</v>
      </c>
    </row>
    <row r="14" spans="1:4" ht="12.75" customHeight="1" x14ac:dyDescent="0.2">
      <c r="A14" t="s">
        <v>15</v>
      </c>
      <c r="C14" s="21">
        <f>C13*7</f>
        <v>1033.4746693467646</v>
      </c>
    </row>
    <row r="15" spans="1:4" ht="12.75" customHeight="1" x14ac:dyDescent="0.2">
      <c r="A15" s="3" t="s">
        <v>52</v>
      </c>
      <c r="C15" s="21">
        <f>C13*365/12</f>
        <v>4490.6935037091562</v>
      </c>
    </row>
  </sheetData>
  <mergeCells count="1">
    <mergeCell ref="A3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orksheet____4"/>
  <dimension ref="A1:N25"/>
  <sheetViews>
    <sheetView workbookViewId="0">
      <selection activeCell="B20" sqref="B20"/>
    </sheetView>
  </sheetViews>
  <sheetFormatPr defaultRowHeight="12.75" x14ac:dyDescent="0.2"/>
  <cols>
    <col min="1" max="1" width="16.85546875" customWidth="1"/>
    <col min="5" max="5" width="11.5703125" bestFit="1" customWidth="1"/>
    <col min="9" max="9" width="12.140625" bestFit="1" customWidth="1"/>
  </cols>
  <sheetData>
    <row r="1" spans="1:14" x14ac:dyDescent="0.2">
      <c r="A1" s="5" t="s">
        <v>47</v>
      </c>
    </row>
    <row r="2" spans="1:14" x14ac:dyDescent="0.2">
      <c r="A2" s="48" t="s">
        <v>102</v>
      </c>
      <c r="E2">
        <f>(EventsPerSecond-BERegrConst3*BERegrConst2)/(BERegrConst1*BERegrConst3)</f>
        <v>-0.51491769547325084</v>
      </c>
    </row>
    <row r="3" spans="1:14" x14ac:dyDescent="0.2">
      <c r="A3" s="6" t="s">
        <v>48</v>
      </c>
      <c r="E3">
        <f>MAX(IF(TargetBERegr&gt;0,ROUNDUP(TargetBERegr,0),0)+1,MinimalBENodes)</f>
        <v>3</v>
      </c>
    </row>
    <row r="4" spans="1:14" x14ac:dyDescent="0.2">
      <c r="A4" s="38" t="s">
        <v>85</v>
      </c>
      <c r="E4">
        <f>IF(TargetBENodes&lt;=LimitBENodes,TargetBENodes,CONCATENATE("greater than ",LimitBENodes))</f>
        <v>3</v>
      </c>
    </row>
    <row r="6" spans="1:14" ht="25.5" x14ac:dyDescent="0.2">
      <c r="A6" t="s">
        <v>101</v>
      </c>
      <c r="E6">
        <f>(AvgEventsPerSecond-BERegrConst3*BERegrConst2)/(BERegrConst1*BERegrConst3)</f>
        <v>-2.6059670781893005</v>
      </c>
    </row>
    <row r="7" spans="1:14" x14ac:dyDescent="0.2">
      <c r="A7" s="7" t="s">
        <v>100</v>
      </c>
      <c r="E7">
        <f>MAX(IF(MinBERegr&gt;0,ROUNDUP(MinBERegr,0),0)+1,MinimalBENodes)</f>
        <v>3</v>
      </c>
    </row>
    <row r="8" spans="1:14" x14ac:dyDescent="0.2">
      <c r="A8" s="44" t="s">
        <v>85</v>
      </c>
      <c r="E8">
        <f>IF(MinBENodes&lt;=LimitBENodes,MinBENodes,CONCATENATE("greater than ",LimitBENodes))</f>
        <v>3</v>
      </c>
    </row>
    <row r="10" spans="1:14" x14ac:dyDescent="0.2">
      <c r="F10" s="21"/>
      <c r="G10" s="41"/>
      <c r="I10" s="41"/>
      <c r="J10" s="41"/>
      <c r="L10" s="41"/>
      <c r="N10" s="41"/>
    </row>
    <row r="11" spans="1:14" x14ac:dyDescent="0.2">
      <c r="A11" s="40" t="s">
        <v>94</v>
      </c>
      <c r="B11" s="7"/>
      <c r="C11" s="7"/>
      <c r="D11" s="7"/>
      <c r="E11" s="7"/>
      <c r="F11" s="7"/>
      <c r="I11" s="41"/>
    </row>
    <row r="12" spans="1:14" x14ac:dyDescent="0.2">
      <c r="A12" s="6" t="s">
        <v>87</v>
      </c>
      <c r="B12" s="6">
        <v>0.2</v>
      </c>
      <c r="C12" s="7"/>
      <c r="D12" s="7"/>
      <c r="E12" s="7"/>
      <c r="F12" s="7"/>
    </row>
    <row r="13" spans="1:14" x14ac:dyDescent="0.2">
      <c r="A13" s="6" t="s">
        <v>88</v>
      </c>
      <c r="B13" s="7">
        <v>0.8</v>
      </c>
      <c r="C13" s="7"/>
      <c r="D13" s="7"/>
      <c r="E13" s="7"/>
      <c r="F13" s="7"/>
    </row>
    <row r="14" spans="1:14" x14ac:dyDescent="0.2">
      <c r="A14" s="6" t="s">
        <v>93</v>
      </c>
      <c r="B14" s="7">
        <f>P1PerfCalculated</f>
        <v>540</v>
      </c>
      <c r="C14" s="7"/>
      <c r="D14" s="46" t="s">
        <v>95</v>
      </c>
      <c r="E14" s="7"/>
      <c r="F14" s="7"/>
    </row>
    <row r="15" spans="1:14" x14ac:dyDescent="0.2">
      <c r="A15" s="6"/>
      <c r="B15" s="7"/>
      <c r="C15" s="6"/>
      <c r="D15" s="46"/>
      <c r="E15" s="7"/>
      <c r="F15" s="7"/>
    </row>
    <row r="16" spans="1:14" x14ac:dyDescent="0.2">
      <c r="A16" s="6"/>
      <c r="B16" s="7"/>
      <c r="C16" s="6"/>
      <c r="D16" s="46"/>
      <c r="E16" s="7"/>
      <c r="F16" s="7"/>
    </row>
    <row r="17" spans="1:6" x14ac:dyDescent="0.2">
      <c r="A17" s="7"/>
      <c r="B17" s="7"/>
      <c r="C17" s="7"/>
      <c r="D17" s="7"/>
      <c r="E17" s="7"/>
      <c r="F17" s="7"/>
    </row>
    <row r="18" spans="1:6" x14ac:dyDescent="0.2">
      <c r="A18" s="40" t="s">
        <v>111</v>
      </c>
      <c r="B18" s="7"/>
      <c r="C18" s="7"/>
      <c r="D18" s="7"/>
      <c r="E18" s="7"/>
      <c r="F18" s="7"/>
    </row>
    <row r="19" spans="1:6" ht="25.5" x14ac:dyDescent="0.2">
      <c r="A19" s="2" t="s">
        <v>113</v>
      </c>
      <c r="B19" t="b">
        <f>UseLimitedIndexing</f>
        <v>1</v>
      </c>
      <c r="E19" s="7"/>
      <c r="F19" s="7"/>
    </row>
    <row r="20" spans="1:6" ht="25.5" x14ac:dyDescent="0.2">
      <c r="A20" s="2" t="s">
        <v>112</v>
      </c>
      <c r="B20">
        <f>IF(UseLimitedIndexing, I1Cat0, I0Cat0)</f>
        <v>600</v>
      </c>
      <c r="C20">
        <f>IF(UseLimitedIndexing, I1Cat1, I0Cat1)</f>
        <v>480</v>
      </c>
      <c r="D20">
        <f>IF(UseLimitedIndexing, I1Cat2, I0Cat2)</f>
        <v>390</v>
      </c>
      <c r="E20" s="7"/>
      <c r="F20" s="7"/>
    </row>
    <row r="21" spans="1:6" x14ac:dyDescent="0.2">
      <c r="E21" s="7"/>
      <c r="F21" s="7"/>
    </row>
    <row r="22" spans="1:6" ht="38.25" x14ac:dyDescent="0.2">
      <c r="A22" s="2" t="s">
        <v>114</v>
      </c>
      <c r="B22">
        <f>Category0PagesPart*P1Cat0+Category1PagesPart*P1Cat1+Category2PagesPart*P1Cat2</f>
        <v>540</v>
      </c>
      <c r="E22" s="7"/>
      <c r="F22" s="7"/>
    </row>
    <row r="23" spans="1:6" x14ac:dyDescent="0.2">
      <c r="E23" s="7"/>
      <c r="F23" s="7"/>
    </row>
    <row r="24" spans="1:6" x14ac:dyDescent="0.2">
      <c r="A24" s="7"/>
      <c r="B24" s="7"/>
      <c r="C24" s="7"/>
      <c r="D24" s="7"/>
      <c r="E24" s="7"/>
      <c r="F24" s="7"/>
    </row>
    <row r="25" spans="1:6" x14ac:dyDescent="0.2">
      <c r="A25" s="7"/>
      <c r="B25" s="7"/>
      <c r="C25" s="7"/>
      <c r="D25" s="7"/>
      <c r="E25" s="7"/>
      <c r="F25" s="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orksheet____5"/>
  <dimension ref="A1:E22"/>
  <sheetViews>
    <sheetView workbookViewId="0">
      <selection activeCell="B15" sqref="B15"/>
    </sheetView>
  </sheetViews>
  <sheetFormatPr defaultColWidth="17.140625" defaultRowHeight="12.75" customHeight="1" x14ac:dyDescent="0.2"/>
  <cols>
    <col min="1" max="1" width="25" customWidth="1"/>
    <col min="4" max="4" width="20.5703125" customWidth="1"/>
    <col min="5" max="5" width="14.7109375" customWidth="1"/>
  </cols>
  <sheetData>
    <row r="1" spans="1:5" ht="12.75" customHeight="1" x14ac:dyDescent="0.2">
      <c r="A1" s="2" t="s">
        <v>16</v>
      </c>
      <c r="E1" s="24"/>
    </row>
    <row r="2" spans="1:5" ht="12.75" customHeight="1" x14ac:dyDescent="0.2">
      <c r="A2" t="s">
        <v>17</v>
      </c>
      <c r="B2" s="21">
        <f>VisitsPerHour/3600</f>
        <v>11.111111111111111</v>
      </c>
      <c r="D2" s="3"/>
    </row>
    <row r="3" spans="1:5" ht="12.75" customHeight="1" x14ac:dyDescent="0.2">
      <c r="A3" t="s">
        <v>18</v>
      </c>
      <c r="B3" s="21">
        <f>AvgPagesPerVisit</f>
        <v>5</v>
      </c>
      <c r="D3" s="3"/>
    </row>
    <row r="4" spans="1:5" ht="12.75" customHeight="1" x14ac:dyDescent="0.2">
      <c r="A4" t="s">
        <v>59</v>
      </c>
      <c r="B4" s="21">
        <f>SQRT(B2)</f>
        <v>3.3333333333333335</v>
      </c>
      <c r="D4" s="3"/>
    </row>
    <row r="5" spans="1:5" ht="12.75" customHeight="1" x14ac:dyDescent="0.2">
      <c r="A5" s="41" t="s">
        <v>90</v>
      </c>
      <c r="B5" s="45">
        <f>VisitsPerSecond+(4*VisitsPerSecondStdDev)</f>
        <v>24.444444444444443</v>
      </c>
    </row>
    <row r="6" spans="1:5" ht="12.75" customHeight="1" x14ac:dyDescent="0.2">
      <c r="A6" t="s">
        <v>91</v>
      </c>
      <c r="B6" s="45">
        <f>MAX(AdjVisitsPerSecond,MaxVisitsPerHour/SecPerHour)</f>
        <v>27.777777777777779</v>
      </c>
    </row>
    <row r="7" spans="1:5" ht="12.75" customHeight="1" x14ac:dyDescent="0.2">
      <c r="A7" s="41" t="s">
        <v>92</v>
      </c>
      <c r="B7" s="21">
        <f>AdjMaxVisitsPerSecond*AvgPagesPerVisit</f>
        <v>138.88888888888889</v>
      </c>
    </row>
    <row r="8" spans="1:5" ht="12.75" customHeight="1" x14ac:dyDescent="0.2">
      <c r="A8" s="44" t="s">
        <v>99</v>
      </c>
      <c r="B8" s="21">
        <f>VisitsPerSecond*AvgPagesPerVisit</f>
        <v>55.555555555555557</v>
      </c>
    </row>
    <row r="10" spans="1:5" ht="12.75" customHeight="1" x14ac:dyDescent="0.2">
      <c r="A10" s="2" t="s">
        <v>19</v>
      </c>
    </row>
    <row r="11" spans="1:5" ht="12.75" customHeight="1" x14ac:dyDescent="0.2">
      <c r="A11" t="s">
        <v>20</v>
      </c>
      <c r="B11">
        <v>1</v>
      </c>
      <c r="C11" s="1" t="s">
        <v>103</v>
      </c>
    </row>
    <row r="12" spans="1:5" ht="12.75" customHeight="1" x14ac:dyDescent="0.2">
      <c r="A12" t="s">
        <v>21</v>
      </c>
      <c r="B12">
        <v>2</v>
      </c>
      <c r="C12" s="1" t="s">
        <v>104</v>
      </c>
    </row>
    <row r="13" spans="1:5" ht="12.75" customHeight="1" x14ac:dyDescent="0.2">
      <c r="A13" t="s">
        <v>55</v>
      </c>
      <c r="B13">
        <f>3600</f>
        <v>3600</v>
      </c>
    </row>
    <row r="15" spans="1:5" ht="12.75" customHeight="1" x14ac:dyDescent="0.2">
      <c r="A15" t="s">
        <v>97</v>
      </c>
      <c r="B15" s="22">
        <f>(AdjMaxVisitsPerSecond*EventsPerVisit)+(PagesPerSecond*EventsPerPage)</f>
        <v>376.38888888888891</v>
      </c>
    </row>
    <row r="16" spans="1:5" ht="12.75" customHeight="1" x14ac:dyDescent="0.2">
      <c r="A16" t="s">
        <v>98</v>
      </c>
      <c r="B16" s="22">
        <f>(VisitsPerSecond*EventsPerVisit)+(AvgPagesPerSecond*EventsPerPage)</f>
        <v>150.55555555555554</v>
      </c>
    </row>
    <row r="17" spans="1:2" ht="12.75" customHeight="1" x14ac:dyDescent="0.2">
      <c r="B17" s="22"/>
    </row>
    <row r="18" spans="1:2" ht="12.75" customHeight="1" x14ac:dyDescent="0.2">
      <c r="A18" t="s">
        <v>22</v>
      </c>
      <c r="B18" s="23">
        <f>EventsPerSecond+AuxRequestsPerPage*PagesPerSecond+AuxRequestsPerVisit*VisitsPerSecond</f>
        <v>537.5</v>
      </c>
    </row>
    <row r="20" spans="1:2" ht="12.75" customHeight="1" x14ac:dyDescent="0.2">
      <c r="A20" t="s">
        <v>23</v>
      </c>
      <c r="B20">
        <f>MAX(INT(RequestsPerSecond/RegrConst1)+1,MinimalFENodes)</f>
        <v>2</v>
      </c>
    </row>
    <row r="22" spans="1:2" ht="12.75" customHeight="1" x14ac:dyDescent="0.2">
      <c r="A22" s="38" t="s">
        <v>85</v>
      </c>
      <c r="B22">
        <f>IF(TargetFENodes&lt;=LimitFENodes,TargetFENodes,CONCATENATE("greater than ",LimitFENodes))</f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orksheet____6"/>
  <dimension ref="A1:H30"/>
  <sheetViews>
    <sheetView workbookViewId="0">
      <selection activeCell="H5" sqref="H5"/>
    </sheetView>
  </sheetViews>
  <sheetFormatPr defaultColWidth="17.140625" defaultRowHeight="12.75" customHeight="1" x14ac:dyDescent="0.2"/>
  <sheetData>
    <row r="1" spans="1:8" ht="25.5" x14ac:dyDescent="0.2">
      <c r="A1" s="2" t="s">
        <v>24</v>
      </c>
      <c r="E1" s="40" t="s">
        <v>106</v>
      </c>
      <c r="F1" s="7"/>
      <c r="G1" s="7"/>
      <c r="H1" s="7"/>
    </row>
    <row r="2" spans="1:8" ht="25.5" x14ac:dyDescent="0.2">
      <c r="A2" t="s">
        <v>25</v>
      </c>
      <c r="B2">
        <v>3</v>
      </c>
      <c r="E2" s="6" t="s">
        <v>107</v>
      </c>
      <c r="F2" s="7">
        <v>0</v>
      </c>
      <c r="G2" s="7">
        <v>1</v>
      </c>
      <c r="H2" s="7">
        <v>2</v>
      </c>
    </row>
    <row r="3" spans="1:8" ht="12.75" customHeight="1" x14ac:dyDescent="0.2">
      <c r="E3" s="6" t="s">
        <v>108</v>
      </c>
      <c r="F3" s="7"/>
      <c r="G3" s="7"/>
      <c r="H3" s="7"/>
    </row>
    <row r="4" spans="1:8" ht="25.5" x14ac:dyDescent="0.2">
      <c r="A4" s="2" t="s">
        <v>26</v>
      </c>
      <c r="B4" t="s">
        <v>27</v>
      </c>
      <c r="C4" t="s">
        <v>28</v>
      </c>
      <c r="E4" s="6" t="s">
        <v>109</v>
      </c>
      <c r="F4" s="7">
        <v>210</v>
      </c>
      <c r="G4" s="7">
        <v>120</v>
      </c>
      <c r="H4" s="7">
        <v>90</v>
      </c>
    </row>
    <row r="5" spans="1:8" x14ac:dyDescent="0.2">
      <c r="A5" t="s">
        <v>29</v>
      </c>
      <c r="B5">
        <v>8399.4790639999992</v>
      </c>
      <c r="C5">
        <v>2122.3099339999999</v>
      </c>
      <c r="E5" s="6" t="s">
        <v>110</v>
      </c>
      <c r="F5" s="7">
        <v>600</v>
      </c>
      <c r="G5" s="7">
        <v>480</v>
      </c>
      <c r="H5" s="7">
        <v>390</v>
      </c>
    </row>
    <row r="6" spans="1:8" x14ac:dyDescent="0.2">
      <c r="A6" t="s">
        <v>30</v>
      </c>
      <c r="B6">
        <v>15974.20255</v>
      </c>
      <c r="C6">
        <v>3258.1650140000002</v>
      </c>
    </row>
    <row r="7" spans="1:8" x14ac:dyDescent="0.2">
      <c r="A7" t="s">
        <v>31</v>
      </c>
      <c r="B7">
        <v>19708.369119999999</v>
      </c>
      <c r="C7">
        <v>3646.7087919999999</v>
      </c>
    </row>
    <row r="9" spans="1:8" x14ac:dyDescent="0.2">
      <c r="A9" s="3" t="s">
        <v>53</v>
      </c>
      <c r="B9">
        <f>1024*1024*1024</f>
        <v>1073741824</v>
      </c>
    </row>
    <row r="10" spans="1:8" ht="38.25" x14ac:dyDescent="0.2">
      <c r="A10" s="3" t="s">
        <v>54</v>
      </c>
      <c r="B10">
        <f>365/12</f>
        <v>30.416666666666668</v>
      </c>
      <c r="E10" s="2" t="s">
        <v>121</v>
      </c>
    </row>
    <row r="11" spans="1:8" ht="25.5" x14ac:dyDescent="0.2">
      <c r="A11" s="3" t="s">
        <v>55</v>
      </c>
      <c r="B11">
        <f>3600</f>
        <v>3600</v>
      </c>
      <c r="E11" s="2" t="s">
        <v>122</v>
      </c>
      <c r="F11" t="b">
        <f>UseLimitedIndexing</f>
        <v>1</v>
      </c>
    </row>
    <row r="12" spans="1:8" ht="12.75" customHeight="1" x14ac:dyDescent="0.2">
      <c r="E12" s="2"/>
      <c r="F12">
        <v>1.35</v>
      </c>
    </row>
    <row r="13" spans="1:8" x14ac:dyDescent="0.2">
      <c r="A13" s="2" t="s">
        <v>19</v>
      </c>
      <c r="E13" s="2" t="s">
        <v>123</v>
      </c>
      <c r="F13">
        <v>2122.3099339999999</v>
      </c>
      <c r="G13">
        <v>3258.1650140000002</v>
      </c>
      <c r="H13">
        <v>3646.7087919999999</v>
      </c>
    </row>
    <row r="14" spans="1:8" ht="15" x14ac:dyDescent="0.25">
      <c r="A14" t="s">
        <v>9</v>
      </c>
      <c r="B14">
        <v>1</v>
      </c>
      <c r="C14" s="1" t="s">
        <v>32</v>
      </c>
      <c r="E14" s="2" t="s">
        <v>124</v>
      </c>
      <c r="F14" s="55">
        <f>846.538996*F12</f>
        <v>1142.8276446</v>
      </c>
      <c r="G14" s="54">
        <f>1058.655004*F12</f>
        <v>1429.1842554</v>
      </c>
      <c r="H14" s="53">
        <f>1096.35881024*F12</f>
        <v>1480.084393824</v>
      </c>
    </row>
    <row r="15" spans="1:8" ht="25.5" x14ac:dyDescent="0.2">
      <c r="A15" t="s">
        <v>33</v>
      </c>
      <c r="B15">
        <v>2</v>
      </c>
      <c r="C15" s="1" t="s">
        <v>34</v>
      </c>
    </row>
    <row r="16" spans="1:8" ht="12.75" customHeight="1" x14ac:dyDescent="0.2">
      <c r="E16" s="51" t="s">
        <v>125</v>
      </c>
      <c r="F16">
        <f>IF(UseLimitedIndexing, SizeI1Cat0,SizeI0Cat0)</f>
        <v>1142.8276446</v>
      </c>
      <c r="G16">
        <f>IF(UseLimitedIndexing, SizeI1Cat1,SizeI0Cat1)</f>
        <v>1429.1842554</v>
      </c>
      <c r="H16">
        <f>IF(UseLimitedIndexing, SizeI1Cat2,SizeI0Cat2)</f>
        <v>1480.084393824</v>
      </c>
    </row>
    <row r="17" spans="1:5" ht="12.75" customHeight="1" x14ac:dyDescent="0.2">
      <c r="A17" s="38" t="s">
        <v>83</v>
      </c>
      <c r="C17">
        <v>50</v>
      </c>
    </row>
    <row r="19" spans="1:5" x14ac:dyDescent="0.2">
      <c r="A19" s="2" t="s">
        <v>35</v>
      </c>
    </row>
    <row r="20" spans="1:5" ht="25.5" x14ac:dyDescent="0.2">
      <c r="A20" t="s">
        <v>36</v>
      </c>
      <c r="B20">
        <v>2</v>
      </c>
    </row>
    <row r="21" spans="1:5" ht="12.75" customHeight="1" x14ac:dyDescent="0.2">
      <c r="A21" s="6" t="s">
        <v>86</v>
      </c>
    </row>
    <row r="22" spans="1:5" x14ac:dyDescent="0.2">
      <c r="A22" t="s">
        <v>81</v>
      </c>
      <c r="B22">
        <v>2000</v>
      </c>
    </row>
    <row r="23" spans="1:5" ht="12" customHeight="1" x14ac:dyDescent="0.2">
      <c r="A23" t="s">
        <v>82</v>
      </c>
      <c r="E23" t="s">
        <v>37</v>
      </c>
    </row>
    <row r="25" spans="1:5" ht="12.75" customHeight="1" x14ac:dyDescent="0.2">
      <c r="A25" s="30" t="s">
        <v>61</v>
      </c>
      <c r="B25" s="30"/>
      <c r="C25" s="30">
        <v>20000</v>
      </c>
    </row>
    <row r="26" spans="1:5" x14ac:dyDescent="0.2">
      <c r="A26" s="1" t="s">
        <v>57</v>
      </c>
      <c r="B26" s="1"/>
      <c r="C26" s="1">
        <v>8</v>
      </c>
    </row>
    <row r="27" spans="1:5" ht="12.75" customHeight="1" x14ac:dyDescent="0.2">
      <c r="A27" s="38" t="s">
        <v>84</v>
      </c>
      <c r="C27">
        <v>20</v>
      </c>
    </row>
    <row r="30" spans="1:5" ht="12.75" customHeight="1" x14ac:dyDescent="0.2">
      <c r="A30" s="3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75</vt:i4>
      </vt:variant>
    </vt:vector>
  </HeadingPairs>
  <TitlesOfParts>
    <vt:vector size="77" baseType="lpstr">
      <vt:lpstr>Main</vt:lpstr>
      <vt:lpstr>Server profiles</vt:lpstr>
      <vt:lpstr>AdjBENodes</vt:lpstr>
      <vt:lpstr>AdjFENodes</vt:lpstr>
      <vt:lpstr>AdjMaxVisitsPerSecond</vt:lpstr>
      <vt:lpstr>AdjMinBENodes</vt:lpstr>
      <vt:lpstr>AdjVisitsPerSecond</vt:lpstr>
      <vt:lpstr>AuxRequestsPerPage</vt:lpstr>
      <vt:lpstr>AuxRequestsPerVisit</vt:lpstr>
      <vt:lpstr>AvgEventSize</vt:lpstr>
      <vt:lpstr>AvgEventSizeCompressed</vt:lpstr>
      <vt:lpstr>AvgEventsPerSecond</vt:lpstr>
      <vt:lpstr>AvgPagesPerSecond</vt:lpstr>
      <vt:lpstr>AvgPagesPerVisit</vt:lpstr>
      <vt:lpstr>BERegrConst1</vt:lpstr>
      <vt:lpstr>BERegrConst2</vt:lpstr>
      <vt:lpstr>BERegrConst3</vt:lpstr>
      <vt:lpstr>ByteToGb</vt:lpstr>
      <vt:lpstr>Category0PagesPart</vt:lpstr>
      <vt:lpstr>Category1PagesPart</vt:lpstr>
      <vt:lpstr>Category2PagesPart</vt:lpstr>
      <vt:lpstr>CustomEventsPerPage</vt:lpstr>
      <vt:lpstr>CustomEventsPerVisit</vt:lpstr>
      <vt:lpstr>EventSizeCat0</vt:lpstr>
      <vt:lpstr>EventSizeCat0Compr0</vt:lpstr>
      <vt:lpstr>EventSizeCat0Compr1</vt:lpstr>
      <vt:lpstr>EventSizeCat1</vt:lpstr>
      <vt:lpstr>EventSizeCat1Compr0</vt:lpstr>
      <vt:lpstr>EventSizeCat1Compr1</vt:lpstr>
      <vt:lpstr>EventSizeCat2</vt:lpstr>
      <vt:lpstr>EventSizeCat2Compr0</vt:lpstr>
      <vt:lpstr>EventSizeCat2Compr1</vt:lpstr>
      <vt:lpstr>EventsPerHour</vt:lpstr>
      <vt:lpstr>EventsPerPage</vt:lpstr>
      <vt:lpstr>EventsPerPageDef</vt:lpstr>
      <vt:lpstr>EventsPerSecond</vt:lpstr>
      <vt:lpstr>EventsPerVisit</vt:lpstr>
      <vt:lpstr>EventsPerVisitDef</vt:lpstr>
      <vt:lpstr>I0Cat0</vt:lpstr>
      <vt:lpstr>I0Cat1</vt:lpstr>
      <vt:lpstr>I0Cat2</vt:lpstr>
      <vt:lpstr>I1Cat0</vt:lpstr>
      <vt:lpstr>I1Cat1</vt:lpstr>
      <vt:lpstr>I1Cat2</vt:lpstr>
      <vt:lpstr>LimitBENodes</vt:lpstr>
      <vt:lpstr>LimitFENodes</vt:lpstr>
      <vt:lpstr>MaxFENodes</vt:lpstr>
      <vt:lpstr>MaxFERPS</vt:lpstr>
      <vt:lpstr>MaxVisitsPerHour</vt:lpstr>
      <vt:lpstr>MinBENodes</vt:lpstr>
      <vt:lpstr>MinBERegr</vt:lpstr>
      <vt:lpstr>MinimalBENodes</vt:lpstr>
      <vt:lpstr>MinimalFENodes</vt:lpstr>
      <vt:lpstr>P1Cat0</vt:lpstr>
      <vt:lpstr>P1Cat1</vt:lpstr>
      <vt:lpstr>P1Cat2</vt:lpstr>
      <vt:lpstr>P1PerfCalculated</vt:lpstr>
      <vt:lpstr>PagesPerHour</vt:lpstr>
      <vt:lpstr>PagesPerSecond</vt:lpstr>
      <vt:lpstr>RegrConst1</vt:lpstr>
      <vt:lpstr>RegrConst2</vt:lpstr>
      <vt:lpstr>RequestsPerSecond</vt:lpstr>
      <vt:lpstr>SecPerHour</vt:lpstr>
      <vt:lpstr>SizeI0Cat0</vt:lpstr>
      <vt:lpstr>SizeI0Cat1</vt:lpstr>
      <vt:lpstr>SizeI0Cat2</vt:lpstr>
      <vt:lpstr>SizeI1Cat0</vt:lpstr>
      <vt:lpstr>SizeI1Cat1</vt:lpstr>
      <vt:lpstr>SizeI1Cat2</vt:lpstr>
      <vt:lpstr>TargetBENodes</vt:lpstr>
      <vt:lpstr>TargetBERegr</vt:lpstr>
      <vt:lpstr>TargetFENodes</vt:lpstr>
      <vt:lpstr>UseLimitedIndexing</vt:lpstr>
      <vt:lpstr>VisitsPerHour</vt:lpstr>
      <vt:lpstr>VisitsPerSecond</vt:lpstr>
      <vt:lpstr>VisitsPerSecondStdDev</vt:lpstr>
      <vt:lpstr>YearToMonth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Alexey Nikulin</dc:creator>
  <cp:lastModifiedBy>Alex Nikulin</cp:lastModifiedBy>
  <cp:lastPrinted>2013-06-13T14:22:44Z</cp:lastPrinted>
  <dcterms:created xsi:type="dcterms:W3CDTF">2013-06-18T14:57:17Z</dcterms:created>
  <dcterms:modified xsi:type="dcterms:W3CDTF">2015-10-16T15:15:21Z</dcterms:modified>
</cp:coreProperties>
</file>